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Итоговый свод" sheetId="1" r:id="rId1"/>
  </sheets>
  <definedNames/>
  <calcPr fullCalcOnLoad="1"/>
</workbook>
</file>

<file path=xl/sharedStrings.xml><?xml version="1.0" encoding="utf-8"?>
<sst xmlns="http://schemas.openxmlformats.org/spreadsheetml/2006/main" count="119" uniqueCount="57">
  <si>
    <t>ФБ</t>
  </si>
  <si>
    <t>ОБ</t>
  </si>
  <si>
    <t>МБ</t>
  </si>
  <si>
    <t>ФОМС</t>
  </si>
  <si>
    <t>Всего:</t>
  </si>
  <si>
    <t>2.</t>
  </si>
  <si>
    <t xml:space="preserve">№ </t>
  </si>
  <si>
    <t>Наименование проекта</t>
  </si>
  <si>
    <t>Малый бизнес</t>
  </si>
  <si>
    <t>Социальная защита</t>
  </si>
  <si>
    <t>СД</t>
  </si>
  <si>
    <t>Здравоохранение</t>
  </si>
  <si>
    <t>Образование</t>
  </si>
  <si>
    <t>Культура</t>
  </si>
  <si>
    <t>СП</t>
  </si>
  <si>
    <t>Молодежная политика</t>
  </si>
  <si>
    <t>Жилищно-коммунальное хозяйство</t>
  </si>
  <si>
    <t>Общественный транспорт</t>
  </si>
  <si>
    <t>Итого:</t>
  </si>
  <si>
    <t xml:space="preserve">Источники: </t>
  </si>
  <si>
    <t>МБ - местный бюджет;</t>
  </si>
  <si>
    <t>ОБ - областной бюджет;</t>
  </si>
  <si>
    <t>ФБ - федеральный бюджет;</t>
  </si>
  <si>
    <t>СП - средства предприятий;</t>
  </si>
  <si>
    <t>ДП - добровольные пожертвования;</t>
  </si>
  <si>
    <t>СД - собственные доходы бюджетных организаций и учреждений.</t>
  </si>
  <si>
    <t>Потребительский рынок</t>
  </si>
  <si>
    <t>Строительство</t>
  </si>
  <si>
    <t>Физкультура,спорт</t>
  </si>
  <si>
    <t>Занятость</t>
  </si>
  <si>
    <t xml:space="preserve">Муниципальная </t>
  </si>
  <si>
    <t>ФОМС - фонд обязательного медицинского страхования;</t>
  </si>
  <si>
    <t>ПЗОС-о</t>
  </si>
  <si>
    <t>Экология  и природопользование</t>
  </si>
  <si>
    <t>ПЗОС-м</t>
  </si>
  <si>
    <t>ПЗОС- м местный экологический фонд;</t>
  </si>
  <si>
    <t>СН- средства населения</t>
  </si>
  <si>
    <t>СН</t>
  </si>
  <si>
    <t>ПС</t>
  </si>
  <si>
    <t xml:space="preserve">собственность </t>
  </si>
  <si>
    <t>Землепользование</t>
  </si>
  <si>
    <t>ПС-привлеченные средства,</t>
  </si>
  <si>
    <t>Примечание</t>
  </si>
  <si>
    <t>Источник финансиро-вания</t>
  </si>
  <si>
    <t>ПЗОС-М</t>
  </si>
  <si>
    <t>ПЗОС-о - областной экологический фонд;</t>
  </si>
  <si>
    <t xml:space="preserve">Производственный    </t>
  </si>
  <si>
    <t xml:space="preserve">  потенциал</t>
  </si>
  <si>
    <t>прочие</t>
  </si>
  <si>
    <t>План тыс.руб.</t>
  </si>
  <si>
    <t>Факт тыс.руб.</t>
  </si>
  <si>
    <t>в 16,0 р.б.</t>
  </si>
  <si>
    <t>Градостроительная    политика</t>
  </si>
  <si>
    <t xml:space="preserve">                  Итоговый свод данных финансирования Программы</t>
  </si>
  <si>
    <t xml:space="preserve">                социального и экономического развития города Троицка</t>
  </si>
  <si>
    <t xml:space="preserve">           по итогам 2001-2005 годов                       </t>
  </si>
  <si>
    <t>%         выполнения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</si>
</sst>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&quot;р.&quot;"/>
    <numFmt numFmtId="173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u val="single"/>
      <sz val="11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16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2" fillId="0" borderId="27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3" fillId="0" borderId="40" xfId="0" applyFont="1" applyBorder="1" applyAlignment="1">
      <alignment/>
    </xf>
    <xf numFmtId="0" fontId="1" fillId="0" borderId="24" xfId="0" applyFont="1" applyBorder="1" applyAlignment="1">
      <alignment horizontal="justify" vertical="center"/>
    </xf>
    <xf numFmtId="0" fontId="3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28575</xdr:rowOff>
    </xdr:from>
    <xdr:to>
      <xdr:col>7</xdr:col>
      <xdr:colOff>19050</xdr:colOff>
      <xdr:row>0</xdr:row>
      <xdr:rowOff>952500</xdr:rowOff>
    </xdr:to>
    <xdr:sp>
      <xdr:nvSpPr>
        <xdr:cNvPr id="1" name="Rectangle 1"/>
        <xdr:cNvSpPr>
          <a:spLocks/>
        </xdr:cNvSpPr>
      </xdr:nvSpPr>
      <xdr:spPr>
        <a:xfrm>
          <a:off x="4505325" y="28575"/>
          <a:ext cx="26289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Собрания 
</a:t>
          </a:r>
          <a:r>
            <a:rPr lang="en-US" cap="none" sz="1100" b="0" i="0" u="none" baseline="0">
              <a:solidFill>
                <a:srgbClr val="000000"/>
              </a:solidFill>
            </a:rPr>
            <a:t>депутатов города Троицка 
</a:t>
          </a:r>
          <a:r>
            <a:rPr lang="en-US" cap="none" sz="1100" b="0" i="0" u="none" baseline="0">
              <a:solidFill>
                <a:srgbClr val="000000"/>
              </a:solidFill>
            </a:rPr>
            <a:t>от 17.05.2006 г №</a:t>
          </a:r>
          <a:r>
            <a:rPr lang="en-US" cap="none" sz="1100" b="0" i="0" u="sng" baseline="0">
              <a:solidFill>
                <a:srgbClr val="000000"/>
              </a:solidFill>
            </a:rPr>
            <a:t>71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8"/>
  <sheetViews>
    <sheetView tabSelected="1" zoomScalePageLayoutView="0" workbookViewId="0" topLeftCell="A94">
      <selection activeCell="D10" sqref="D10"/>
    </sheetView>
  </sheetViews>
  <sheetFormatPr defaultColWidth="9.00390625" defaultRowHeight="12.75"/>
  <cols>
    <col min="1" max="1" width="3.75390625" style="1" customWidth="1"/>
    <col min="2" max="2" width="25.875" style="1" customWidth="1"/>
    <col min="3" max="3" width="14.00390625" style="1" customWidth="1"/>
    <col min="4" max="4" width="12.875" style="1" bestFit="1" customWidth="1"/>
    <col min="5" max="5" width="10.875" style="1" customWidth="1"/>
    <col min="6" max="6" width="12.625" style="1" customWidth="1"/>
    <col min="7" max="7" width="13.375" style="1" customWidth="1"/>
    <col min="8" max="8" width="9.125" style="1" customWidth="1"/>
    <col min="9" max="9" width="8.625" style="1" customWidth="1"/>
    <col min="10" max="16384" width="9.125" style="1" customWidth="1"/>
  </cols>
  <sheetData>
    <row r="1" ht="87.75" customHeight="1"/>
    <row r="2" spans="1:6" s="40" customFormat="1" ht="18.75">
      <c r="A2" s="86" t="s">
        <v>53</v>
      </c>
      <c r="B2" s="86"/>
      <c r="C2" s="87"/>
      <c r="D2" s="87"/>
      <c r="E2" s="87"/>
      <c r="F2" s="87"/>
    </row>
    <row r="3" spans="1:7" s="40" customFormat="1" ht="18.75">
      <c r="A3" s="88" t="s">
        <v>54</v>
      </c>
      <c r="B3" s="88"/>
      <c r="C3" s="89"/>
      <c r="D3" s="89"/>
      <c r="E3" s="89"/>
      <c r="F3" s="89"/>
      <c r="G3" s="90"/>
    </row>
    <row r="4" spans="1:7" s="40" customFormat="1" ht="21" customHeight="1">
      <c r="A4" s="99" t="s">
        <v>55</v>
      </c>
      <c r="B4" s="99"/>
      <c r="C4" s="99"/>
      <c r="D4" s="99"/>
      <c r="E4" s="99"/>
      <c r="F4" s="99"/>
      <c r="G4" s="99"/>
    </row>
    <row r="5" spans="1:7" ht="27.75" customHeight="1" thickBot="1">
      <c r="A5" s="3"/>
      <c r="B5" s="4"/>
      <c r="C5" s="3"/>
      <c r="D5" s="3"/>
      <c r="E5" s="3"/>
      <c r="F5" s="3"/>
      <c r="G5" s="3"/>
    </row>
    <row r="6" spans="1:7" ht="15">
      <c r="A6" s="108" t="s">
        <v>6</v>
      </c>
      <c r="B6" s="111" t="s">
        <v>7</v>
      </c>
      <c r="C6" s="100" t="s">
        <v>43</v>
      </c>
      <c r="D6" s="100" t="s">
        <v>49</v>
      </c>
      <c r="E6" s="100" t="s">
        <v>50</v>
      </c>
      <c r="F6" s="100" t="s">
        <v>56</v>
      </c>
      <c r="G6" s="91"/>
    </row>
    <row r="7" spans="1:7" ht="15.75" customHeight="1">
      <c r="A7" s="109"/>
      <c r="B7" s="112"/>
      <c r="C7" s="101"/>
      <c r="D7" s="101"/>
      <c r="E7" s="101"/>
      <c r="F7" s="101"/>
      <c r="G7" s="92" t="s">
        <v>42</v>
      </c>
    </row>
    <row r="8" spans="1:7" ht="15.75" thickBot="1">
      <c r="A8" s="110"/>
      <c r="B8" s="112"/>
      <c r="C8" s="103"/>
      <c r="D8" s="102"/>
      <c r="E8" s="102"/>
      <c r="F8" s="102"/>
      <c r="G8" s="92"/>
    </row>
    <row r="9" spans="1:7" ht="15.75" thickBot="1">
      <c r="A9" s="93">
        <v>1</v>
      </c>
      <c r="B9" s="6">
        <v>2</v>
      </c>
      <c r="C9" s="7">
        <v>3</v>
      </c>
      <c r="D9" s="8">
        <v>4</v>
      </c>
      <c r="E9" s="8">
        <v>5</v>
      </c>
      <c r="F9" s="8">
        <v>6</v>
      </c>
      <c r="G9" s="94">
        <v>7</v>
      </c>
    </row>
    <row r="10" spans="1:7" ht="19.5" customHeight="1">
      <c r="A10" s="75">
        <v>1</v>
      </c>
      <c r="B10" s="10" t="s">
        <v>46</v>
      </c>
      <c r="C10" s="18" t="s">
        <v>4</v>
      </c>
      <c r="D10" s="47">
        <f>SUM(D11:D12)</f>
        <v>26955</v>
      </c>
      <c r="E10" s="47">
        <f>SUM(E11:E12)</f>
        <v>428935</v>
      </c>
      <c r="F10" s="84" t="s">
        <v>51</v>
      </c>
      <c r="G10" s="61"/>
    </row>
    <row r="11" spans="1:7" ht="15" customHeight="1">
      <c r="A11" s="75"/>
      <c r="B11" s="10" t="s">
        <v>47</v>
      </c>
      <c r="C11" s="11" t="s">
        <v>2</v>
      </c>
      <c r="D11" s="12">
        <v>15</v>
      </c>
      <c r="E11" s="77">
        <v>0</v>
      </c>
      <c r="F11" s="43">
        <f aca="true" t="shared" si="0" ref="F11:F16">E11/D11*100</f>
        <v>0</v>
      </c>
      <c r="G11" s="95"/>
    </row>
    <row r="12" spans="1:7" ht="17.25" customHeight="1" thickBot="1">
      <c r="A12" s="76"/>
      <c r="B12" s="5"/>
      <c r="C12" s="15" t="s">
        <v>14</v>
      </c>
      <c r="D12" s="78">
        <f>11955+10445+4020+520</f>
        <v>26940</v>
      </c>
      <c r="E12" s="35">
        <f>23646+14298+155126+114388+121477</f>
        <v>428935</v>
      </c>
      <c r="F12" s="79">
        <f t="shared" si="0"/>
        <v>1592.1863400148477</v>
      </c>
      <c r="G12" s="58"/>
    </row>
    <row r="13" spans="1:7" ht="15">
      <c r="A13" s="106" t="s">
        <v>5</v>
      </c>
      <c r="B13" s="104" t="s">
        <v>8</v>
      </c>
      <c r="C13" s="18" t="s">
        <v>4</v>
      </c>
      <c r="D13" s="45">
        <f>SUM(D14:D16)</f>
        <v>1711</v>
      </c>
      <c r="E13" s="45">
        <f>SUM(E14:E16)</f>
        <v>994</v>
      </c>
      <c r="F13" s="84">
        <f t="shared" si="0"/>
        <v>58.094681472822906</v>
      </c>
      <c r="G13" s="61"/>
    </row>
    <row r="14" spans="1:7" ht="15">
      <c r="A14" s="107"/>
      <c r="B14" s="105"/>
      <c r="C14" s="11" t="s">
        <v>0</v>
      </c>
      <c r="D14" s="34">
        <v>1245</v>
      </c>
      <c r="E14" s="34">
        <f>239.7+97.9+29+152+45</f>
        <v>563.6</v>
      </c>
      <c r="F14" s="80">
        <f t="shared" si="0"/>
        <v>45.269076305220885</v>
      </c>
      <c r="G14" s="61"/>
    </row>
    <row r="15" spans="1:7" ht="15">
      <c r="A15" s="107"/>
      <c r="B15" s="105"/>
      <c r="C15" s="11" t="s">
        <v>1</v>
      </c>
      <c r="D15" s="34">
        <v>0</v>
      </c>
      <c r="E15" s="34">
        <f>224+42</f>
        <v>266</v>
      </c>
      <c r="F15" s="80"/>
      <c r="G15" s="56"/>
    </row>
    <row r="16" spans="1:7" ht="15.75" thickBot="1">
      <c r="A16" s="121"/>
      <c r="B16" s="105"/>
      <c r="C16" s="19" t="s">
        <v>2</v>
      </c>
      <c r="D16" s="35">
        <f>854-194-194</f>
        <v>466</v>
      </c>
      <c r="E16" s="35">
        <f>10+4.4+50+50+50</f>
        <v>164.4</v>
      </c>
      <c r="F16" s="79">
        <f t="shared" si="0"/>
        <v>35.27896995708154</v>
      </c>
      <c r="G16" s="58"/>
    </row>
    <row r="17" spans="1:7" ht="17.25" customHeight="1">
      <c r="A17" s="75">
        <v>3</v>
      </c>
      <c r="B17" s="20" t="s">
        <v>30</v>
      </c>
      <c r="C17" s="21" t="s">
        <v>4</v>
      </c>
      <c r="D17" s="47">
        <f>D18</f>
        <v>2105</v>
      </c>
      <c r="E17" s="47">
        <f>E18</f>
        <v>160</v>
      </c>
      <c r="F17" s="46">
        <f>E17/D17*100</f>
        <v>7.600950118764846</v>
      </c>
      <c r="G17" s="61"/>
    </row>
    <row r="18" spans="1:7" ht="15.75" thickBot="1">
      <c r="A18" s="76"/>
      <c r="B18" s="15" t="s">
        <v>39</v>
      </c>
      <c r="C18" s="19" t="s">
        <v>2</v>
      </c>
      <c r="D18" s="16">
        <f>421+421+421+421+421</f>
        <v>2105</v>
      </c>
      <c r="E18" s="16">
        <v>160</v>
      </c>
      <c r="F18" s="17">
        <f>E18/D18*100</f>
        <v>7.600950118764846</v>
      </c>
      <c r="G18" s="58"/>
    </row>
    <row r="19" spans="1:7" ht="15">
      <c r="A19" s="75">
        <v>4</v>
      </c>
      <c r="B19" s="73" t="s">
        <v>40</v>
      </c>
      <c r="C19" s="30" t="s">
        <v>4</v>
      </c>
      <c r="D19" s="51">
        <f>SUM(D20:D21)</f>
        <v>2909.3999999999996</v>
      </c>
      <c r="E19" s="51">
        <f>SUM(E20:E21)</f>
        <v>2744.8</v>
      </c>
      <c r="F19" s="52">
        <f>E19/D19*100</f>
        <v>94.34247611191313</v>
      </c>
      <c r="G19" s="96"/>
    </row>
    <row r="20" spans="1:7" ht="16.5" customHeight="1">
      <c r="A20" s="55"/>
      <c r="B20" s="74"/>
      <c r="C20" s="11" t="s">
        <v>1</v>
      </c>
      <c r="D20" s="34">
        <f>200+295</f>
        <v>495</v>
      </c>
      <c r="E20" s="12">
        <v>0</v>
      </c>
      <c r="F20" s="34">
        <f>E20/D20*100</f>
        <v>0</v>
      </c>
      <c r="G20" s="56"/>
    </row>
    <row r="21" spans="1:7" ht="16.5" customHeight="1" thickBot="1">
      <c r="A21" s="57"/>
      <c r="B21" s="15"/>
      <c r="C21" s="19" t="s">
        <v>2</v>
      </c>
      <c r="D21" s="78">
        <f>804.8+804.8+804.8</f>
        <v>2414.3999999999996</v>
      </c>
      <c r="E21" s="81">
        <f>451+333+804.8+1156</f>
        <v>2744.8</v>
      </c>
      <c r="F21" s="85">
        <f>E21/D21*100</f>
        <v>113.68455931080189</v>
      </c>
      <c r="G21" s="62"/>
    </row>
    <row r="22" spans="1:7" ht="15">
      <c r="A22" s="106">
        <v>5</v>
      </c>
      <c r="B22" s="105" t="s">
        <v>26</v>
      </c>
      <c r="C22" s="21" t="s">
        <v>4</v>
      </c>
      <c r="D22" s="47">
        <v>0</v>
      </c>
      <c r="E22" s="47">
        <v>0</v>
      </c>
      <c r="F22" s="45">
        <v>0</v>
      </c>
      <c r="G22" s="53"/>
    </row>
    <row r="23" spans="1:7" ht="15.75" thickBot="1">
      <c r="A23" s="121"/>
      <c r="B23" s="127"/>
      <c r="C23" s="19" t="s">
        <v>2</v>
      </c>
      <c r="D23" s="16">
        <v>0</v>
      </c>
      <c r="E23" s="16">
        <v>0</v>
      </c>
      <c r="F23" s="35">
        <v>0</v>
      </c>
      <c r="G23" s="58"/>
    </row>
    <row r="24" spans="1:7" ht="15">
      <c r="A24" s="113">
        <v>6</v>
      </c>
      <c r="B24" s="117" t="s">
        <v>16</v>
      </c>
      <c r="C24" s="21" t="s">
        <v>4</v>
      </c>
      <c r="D24" s="45">
        <f>SUM(D25:D29)</f>
        <v>150878.6</v>
      </c>
      <c r="E24" s="45">
        <f>SUM(E25:E29)</f>
        <v>106727.8</v>
      </c>
      <c r="F24" s="46">
        <f>E24/D24*100</f>
        <v>70.73753335463081</v>
      </c>
      <c r="G24" s="53"/>
    </row>
    <row r="25" spans="1:7" ht="15">
      <c r="A25" s="114"/>
      <c r="B25" s="118"/>
      <c r="C25" s="11" t="s">
        <v>1</v>
      </c>
      <c r="D25" s="34">
        <f>2192+2665+13277+1127+3277</f>
        <v>22538</v>
      </c>
      <c r="E25" s="34">
        <f>1000+5897+3959</f>
        <v>10856</v>
      </c>
      <c r="F25" s="13">
        <f>E25/D25*100</f>
        <v>48.167539267015705</v>
      </c>
      <c r="G25" s="56"/>
    </row>
    <row r="26" spans="1:7" ht="15">
      <c r="A26" s="114"/>
      <c r="B26" s="118"/>
      <c r="C26" s="12" t="s">
        <v>2</v>
      </c>
      <c r="D26" s="34">
        <f>130811+5978.6-10329</f>
        <v>126460.6</v>
      </c>
      <c r="E26" s="34">
        <f>13296+5903.8+13200+34675+3251</f>
        <v>70325.8</v>
      </c>
      <c r="F26" s="13">
        <f>E26/D26*100</f>
        <v>55.610838474592086</v>
      </c>
      <c r="G26" s="56"/>
    </row>
    <row r="27" spans="1:7" ht="15">
      <c r="A27" s="115"/>
      <c r="B27" s="119"/>
      <c r="C27" s="22" t="s">
        <v>44</v>
      </c>
      <c r="D27" s="34">
        <v>940</v>
      </c>
      <c r="E27" s="34">
        <v>2054</v>
      </c>
      <c r="F27" s="13">
        <f>E27/D27*100</f>
        <v>218.51063829787236</v>
      </c>
      <c r="G27" s="56"/>
    </row>
    <row r="28" spans="1:7" ht="15">
      <c r="A28" s="115"/>
      <c r="B28" s="119"/>
      <c r="C28" s="22" t="s">
        <v>14</v>
      </c>
      <c r="D28" s="37">
        <v>940</v>
      </c>
      <c r="E28" s="37">
        <f>982+12994+82+994</f>
        <v>15052</v>
      </c>
      <c r="F28" s="13">
        <f>E28/D28*100</f>
        <v>1601.276595744681</v>
      </c>
      <c r="G28" s="54"/>
    </row>
    <row r="29" spans="1:7" ht="15.75" thickBot="1">
      <c r="A29" s="116"/>
      <c r="B29" s="120"/>
      <c r="C29" s="19" t="s">
        <v>10</v>
      </c>
      <c r="D29" s="35">
        <v>0</v>
      </c>
      <c r="E29" s="35">
        <f>2933+5362+145</f>
        <v>8440</v>
      </c>
      <c r="F29" s="17"/>
      <c r="G29" s="58"/>
    </row>
    <row r="30" spans="1:7" ht="15">
      <c r="A30" s="106">
        <v>7</v>
      </c>
      <c r="B30" s="122" t="s">
        <v>17</v>
      </c>
      <c r="C30" s="18" t="s">
        <v>4</v>
      </c>
      <c r="D30" s="45">
        <f>SUM(D31:D34)</f>
        <v>128500</v>
      </c>
      <c r="E30" s="45">
        <f>SUM(E31:E34)</f>
        <v>21023</v>
      </c>
      <c r="F30" s="46">
        <f>E30/D30*100</f>
        <v>16.36031128404669</v>
      </c>
      <c r="G30" s="53"/>
    </row>
    <row r="31" spans="1:7" ht="15">
      <c r="A31" s="107"/>
      <c r="B31" s="123"/>
      <c r="C31" s="11" t="s">
        <v>0</v>
      </c>
      <c r="D31" s="31">
        <f>17500+27500+27500+27500+22500</f>
        <v>122500</v>
      </c>
      <c r="E31" s="31">
        <v>2065</v>
      </c>
      <c r="F31" s="28">
        <f>E31/D31*100</f>
        <v>1.685714285714286</v>
      </c>
      <c r="G31" s="97"/>
    </row>
    <row r="32" spans="1:7" ht="15">
      <c r="A32" s="107"/>
      <c r="B32" s="123"/>
      <c r="C32" s="11" t="s">
        <v>1</v>
      </c>
      <c r="D32" s="31">
        <v>0</v>
      </c>
      <c r="E32" s="31">
        <v>4060</v>
      </c>
      <c r="F32" s="31"/>
      <c r="G32" s="97"/>
    </row>
    <row r="33" spans="1:7" ht="15">
      <c r="A33" s="107"/>
      <c r="B33" s="123"/>
      <c r="C33" s="11" t="s">
        <v>2</v>
      </c>
      <c r="D33" s="34">
        <v>0</v>
      </c>
      <c r="E33" s="34">
        <f>360+530+2061</f>
        <v>2951</v>
      </c>
      <c r="F33" s="28"/>
      <c r="G33" s="56"/>
    </row>
    <row r="34" spans="1:7" ht="15.75" thickBot="1">
      <c r="A34" s="121"/>
      <c r="B34" s="124"/>
      <c r="C34" s="19" t="s">
        <v>10</v>
      </c>
      <c r="D34" s="35">
        <v>6000</v>
      </c>
      <c r="E34" s="35">
        <f>350+415+2438+4435+4309</f>
        <v>11947</v>
      </c>
      <c r="F34" s="29">
        <f>E34/D34*100</f>
        <v>199.11666666666667</v>
      </c>
      <c r="G34" s="58"/>
    </row>
    <row r="35" spans="1:7" ht="15">
      <c r="A35" s="106">
        <v>8</v>
      </c>
      <c r="B35" s="122" t="s">
        <v>27</v>
      </c>
      <c r="C35" s="18" t="s">
        <v>4</v>
      </c>
      <c r="D35" s="45">
        <f>SUM(D36:D42)</f>
        <v>524189</v>
      </c>
      <c r="E35" s="45">
        <f>SUM(E36:E42)</f>
        <v>469040</v>
      </c>
      <c r="F35" s="46">
        <f>E35/D35*100</f>
        <v>89.47917640393064</v>
      </c>
      <c r="G35" s="61"/>
    </row>
    <row r="36" spans="1:7" ht="15">
      <c r="A36" s="107"/>
      <c r="B36" s="125"/>
      <c r="C36" s="23" t="s">
        <v>0</v>
      </c>
      <c r="D36" s="34">
        <f>7176+19044</f>
        <v>26220</v>
      </c>
      <c r="E36" s="34">
        <f>500+5100</f>
        <v>5600</v>
      </c>
      <c r="F36" s="9">
        <f aca="true" t="shared" si="1" ref="F36:F42">E36/D36*100</f>
        <v>21.35774218154081</v>
      </c>
      <c r="G36" s="56"/>
    </row>
    <row r="37" spans="1:7" ht="15">
      <c r="A37" s="107"/>
      <c r="B37" s="123"/>
      <c r="C37" s="11" t="s">
        <v>1</v>
      </c>
      <c r="D37" s="34">
        <v>139596</v>
      </c>
      <c r="E37" s="34">
        <f>6206+16344+34786+91398+45112</f>
        <v>193846</v>
      </c>
      <c r="F37" s="9">
        <f t="shared" si="1"/>
        <v>138.86214504713604</v>
      </c>
      <c r="G37" s="56"/>
    </row>
    <row r="38" spans="1:7" ht="15">
      <c r="A38" s="107"/>
      <c r="B38" s="123"/>
      <c r="C38" s="11" t="s">
        <v>2</v>
      </c>
      <c r="D38" s="34">
        <f>135604-15853-5055</f>
        <v>114696</v>
      </c>
      <c r="E38" s="34">
        <f>27548+12533+8269+12675+31033</f>
        <v>92058</v>
      </c>
      <c r="F38" s="9">
        <f t="shared" si="1"/>
        <v>80.26260724000836</v>
      </c>
      <c r="G38" s="56"/>
    </row>
    <row r="39" spans="1:7" ht="15">
      <c r="A39" s="107"/>
      <c r="B39" s="126"/>
      <c r="C39" s="24" t="s">
        <v>14</v>
      </c>
      <c r="D39" s="34">
        <v>60565</v>
      </c>
      <c r="E39" s="34">
        <f>2491+12853+25582</f>
        <v>40926</v>
      </c>
      <c r="F39" s="9">
        <f t="shared" si="1"/>
        <v>67.573681168992</v>
      </c>
      <c r="G39" s="56"/>
    </row>
    <row r="40" spans="1:7" ht="15">
      <c r="A40" s="107"/>
      <c r="B40" s="126"/>
      <c r="C40" s="24" t="s">
        <v>37</v>
      </c>
      <c r="D40" s="34">
        <v>55200</v>
      </c>
      <c r="E40" s="34">
        <f>7389+11535+86610+22000</f>
        <v>127534</v>
      </c>
      <c r="F40" s="9">
        <f t="shared" si="1"/>
        <v>231.03985507246375</v>
      </c>
      <c r="G40" s="56"/>
    </row>
    <row r="41" spans="1:7" ht="15">
      <c r="A41" s="107"/>
      <c r="B41" s="126"/>
      <c r="C41" s="24" t="s">
        <v>34</v>
      </c>
      <c r="D41" s="34">
        <v>0</v>
      </c>
      <c r="E41" s="34">
        <v>252</v>
      </c>
      <c r="F41" s="9"/>
      <c r="G41" s="54"/>
    </row>
    <row r="42" spans="1:7" ht="15">
      <c r="A42" s="107"/>
      <c r="B42" s="126"/>
      <c r="C42" s="11" t="s">
        <v>38</v>
      </c>
      <c r="D42" s="34">
        <v>127912</v>
      </c>
      <c r="E42" s="34">
        <f>7716+1108</f>
        <v>8824</v>
      </c>
      <c r="F42" s="9">
        <f t="shared" si="1"/>
        <v>6.898492713740696</v>
      </c>
      <c r="G42" s="56"/>
    </row>
    <row r="43" spans="1:7" ht="15.75" thickBot="1">
      <c r="A43" s="55"/>
      <c r="B43" s="72"/>
      <c r="C43" s="23" t="s">
        <v>48</v>
      </c>
      <c r="D43" s="35">
        <v>0</v>
      </c>
      <c r="E43" s="35">
        <v>1510</v>
      </c>
      <c r="F43" s="17"/>
      <c r="G43" s="58"/>
    </row>
    <row r="44" spans="1:7" ht="15">
      <c r="A44" s="128">
        <v>9</v>
      </c>
      <c r="B44" s="130" t="s">
        <v>52</v>
      </c>
      <c r="C44" s="18" t="s">
        <v>4</v>
      </c>
      <c r="D44" s="38">
        <f>D45</f>
        <v>2670</v>
      </c>
      <c r="E44" s="38">
        <f>E45</f>
        <v>35</v>
      </c>
      <c r="F44" s="9">
        <f aca="true" t="shared" si="2" ref="F44:F53">E44/D44*100</f>
        <v>1.3108614232209739</v>
      </c>
      <c r="G44" s="61"/>
    </row>
    <row r="45" spans="1:7" ht="32.25" customHeight="1" thickBot="1">
      <c r="A45" s="129"/>
      <c r="B45" s="118"/>
      <c r="C45" s="11" t="s">
        <v>2</v>
      </c>
      <c r="D45" s="35">
        <f>485+710+775+700</f>
        <v>2670</v>
      </c>
      <c r="E45" s="35">
        <v>35</v>
      </c>
      <c r="F45" s="17">
        <f t="shared" si="2"/>
        <v>1.3108614232209739</v>
      </c>
      <c r="G45" s="58"/>
    </row>
    <row r="46" spans="1:7" ht="15">
      <c r="A46" s="131">
        <v>10</v>
      </c>
      <c r="B46" s="130" t="s">
        <v>33</v>
      </c>
      <c r="C46" s="18" t="s">
        <v>4</v>
      </c>
      <c r="D46" s="45">
        <f>SUM(D47:D50)</f>
        <v>118839</v>
      </c>
      <c r="E46" s="45">
        <f>SUM(E47:E50)</f>
        <v>57605.5</v>
      </c>
      <c r="F46" s="46">
        <f t="shared" si="2"/>
        <v>48.473565075438195</v>
      </c>
      <c r="G46" s="61"/>
    </row>
    <row r="47" spans="1:7" ht="15">
      <c r="A47" s="114"/>
      <c r="B47" s="118"/>
      <c r="C47" s="11" t="s">
        <v>34</v>
      </c>
      <c r="D47" s="34">
        <v>5625</v>
      </c>
      <c r="E47" s="34">
        <f>300+397.9+19.6+1555</f>
        <v>2272.5</v>
      </c>
      <c r="F47" s="9">
        <f t="shared" si="2"/>
        <v>40.400000000000006</v>
      </c>
      <c r="G47" s="56"/>
    </row>
    <row r="48" spans="1:7" ht="15">
      <c r="A48" s="114"/>
      <c r="B48" s="118"/>
      <c r="C48" s="11" t="s">
        <v>32</v>
      </c>
      <c r="D48" s="34">
        <v>2985</v>
      </c>
      <c r="E48" s="34">
        <v>697</v>
      </c>
      <c r="F48" s="9">
        <f t="shared" si="2"/>
        <v>23.350083752093802</v>
      </c>
      <c r="G48" s="56"/>
    </row>
    <row r="49" spans="1:7" ht="15">
      <c r="A49" s="114"/>
      <c r="B49" s="118"/>
      <c r="C49" s="11" t="s">
        <v>2</v>
      </c>
      <c r="D49" s="34">
        <f>2000+9479+9700</f>
        <v>21179</v>
      </c>
      <c r="E49" s="34">
        <f>13262+1011</f>
        <v>14273</v>
      </c>
      <c r="F49" s="9">
        <f t="shared" si="2"/>
        <v>67.39222815052646</v>
      </c>
      <c r="G49" s="56"/>
    </row>
    <row r="50" spans="1:7" ht="15.75" thickBot="1">
      <c r="A50" s="114"/>
      <c r="B50" s="118"/>
      <c r="C50" s="11" t="s">
        <v>14</v>
      </c>
      <c r="D50" s="33">
        <v>89050</v>
      </c>
      <c r="E50" s="35">
        <f>4220+760+6160+29223</f>
        <v>40363</v>
      </c>
      <c r="F50" s="9">
        <f t="shared" si="2"/>
        <v>45.32622122403144</v>
      </c>
      <c r="G50" s="58"/>
    </row>
    <row r="51" spans="1:7" s="41" customFormat="1" ht="16.5" customHeight="1">
      <c r="A51" s="106">
        <v>11</v>
      </c>
      <c r="B51" s="122" t="s">
        <v>11</v>
      </c>
      <c r="C51" s="39" t="s">
        <v>4</v>
      </c>
      <c r="D51" s="51">
        <f>SUM(D52:D54)</f>
        <v>47140</v>
      </c>
      <c r="E51" s="51">
        <f>SUM(E52:E54)</f>
        <v>36790</v>
      </c>
      <c r="F51" s="83">
        <f t="shared" si="2"/>
        <v>78.04412388629613</v>
      </c>
      <c r="G51" s="96"/>
    </row>
    <row r="52" spans="1:7" s="41" customFormat="1" ht="14.25" customHeight="1">
      <c r="A52" s="107"/>
      <c r="B52" s="105"/>
      <c r="C52" s="11" t="s">
        <v>1</v>
      </c>
      <c r="D52" s="71">
        <f>12077+10200+10500</f>
        <v>32777</v>
      </c>
      <c r="E52" s="71">
        <f>1306+8500+9669+879</f>
        <v>20354</v>
      </c>
      <c r="F52" s="49">
        <f t="shared" si="2"/>
        <v>62.098422674436335</v>
      </c>
      <c r="G52" s="60"/>
    </row>
    <row r="53" spans="1:7" s="41" customFormat="1" ht="14.25" customHeight="1">
      <c r="A53" s="107"/>
      <c r="B53" s="105"/>
      <c r="C53" s="11" t="s">
        <v>2</v>
      </c>
      <c r="D53" s="69">
        <v>14363</v>
      </c>
      <c r="E53" s="69">
        <f>4443.6+3301.9+2541+806</f>
        <v>11092.5</v>
      </c>
      <c r="F53" s="49">
        <f t="shared" si="2"/>
        <v>77.22968739121353</v>
      </c>
      <c r="G53" s="59"/>
    </row>
    <row r="54" spans="1:7" ht="16.5" customHeight="1" thickBot="1">
      <c r="A54" s="121"/>
      <c r="B54" s="124"/>
      <c r="C54" s="63" t="s">
        <v>3</v>
      </c>
      <c r="D54" s="70">
        <v>0</v>
      </c>
      <c r="E54" s="70">
        <f>1267.2+4076.3</f>
        <v>5343.5</v>
      </c>
      <c r="F54" s="82"/>
      <c r="G54" s="58"/>
    </row>
    <row r="55" spans="1:7" s="41" customFormat="1" ht="14.25">
      <c r="A55" s="106">
        <v>12</v>
      </c>
      <c r="B55" s="104" t="s">
        <v>12</v>
      </c>
      <c r="C55" s="39" t="s">
        <v>4</v>
      </c>
      <c r="D55" s="45">
        <f>SUM(D56:D58)</f>
        <v>32184</v>
      </c>
      <c r="E55" s="45">
        <f>SUM(E56:E58)</f>
        <v>23534.600000000002</v>
      </c>
      <c r="F55" s="46">
        <f aca="true" t="shared" si="3" ref="F55:F61">E55/D55*100</f>
        <v>73.125155356699</v>
      </c>
      <c r="G55" s="53"/>
    </row>
    <row r="56" spans="1:7" ht="15">
      <c r="A56" s="107"/>
      <c r="B56" s="105"/>
      <c r="C56" s="11" t="s">
        <v>1</v>
      </c>
      <c r="D56" s="34">
        <f>1079+1188+1754+2320+2886</f>
        <v>9227</v>
      </c>
      <c r="E56" s="34">
        <f>809.2+3806+1026.5+1055+3323</f>
        <v>10019.7</v>
      </c>
      <c r="F56" s="13">
        <f t="shared" si="3"/>
        <v>108.59109136230629</v>
      </c>
      <c r="G56" s="56"/>
    </row>
    <row r="57" spans="1:7" ht="15">
      <c r="A57" s="107"/>
      <c r="B57" s="105"/>
      <c r="C57" s="11" t="s">
        <v>2</v>
      </c>
      <c r="D57" s="34">
        <f>25554-3261-973</f>
        <v>21320</v>
      </c>
      <c r="E57" s="34">
        <f>710.8+1392+2943.8+3219+3745</f>
        <v>12010.6</v>
      </c>
      <c r="F57" s="9">
        <f t="shared" si="3"/>
        <v>56.334896810506564</v>
      </c>
      <c r="G57" s="56"/>
    </row>
    <row r="58" spans="1:7" ht="15.75" thickBot="1">
      <c r="A58" s="121"/>
      <c r="B58" s="127"/>
      <c r="C58" s="19" t="s">
        <v>10</v>
      </c>
      <c r="D58" s="35">
        <f>136+142+326+454+579</f>
        <v>1637</v>
      </c>
      <c r="E58" s="35">
        <f>158.3+1082+170+94</f>
        <v>1504.3</v>
      </c>
      <c r="F58" s="85">
        <f t="shared" si="3"/>
        <v>91.89370800244349</v>
      </c>
      <c r="G58" s="58"/>
    </row>
    <row r="59" spans="1:7" s="41" customFormat="1" ht="14.25">
      <c r="A59" s="106">
        <v>13</v>
      </c>
      <c r="B59" s="104" t="s">
        <v>13</v>
      </c>
      <c r="C59" s="42" t="s">
        <v>4</v>
      </c>
      <c r="D59" s="45">
        <f>SUM(D60:D62)</f>
        <v>17963</v>
      </c>
      <c r="E59" s="45">
        <f>SUM(E60:E62)</f>
        <v>21618</v>
      </c>
      <c r="F59" s="68">
        <f t="shared" si="3"/>
        <v>120.34738072705005</v>
      </c>
      <c r="G59" s="53"/>
    </row>
    <row r="60" spans="1:7" ht="15" customHeight="1">
      <c r="A60" s="107"/>
      <c r="B60" s="105"/>
      <c r="C60" s="11" t="s">
        <v>1</v>
      </c>
      <c r="D60" s="34">
        <v>500</v>
      </c>
      <c r="E60" s="34">
        <f>408+1394+550</f>
        <v>2352</v>
      </c>
      <c r="F60" s="13">
        <f t="shared" si="3"/>
        <v>470.4</v>
      </c>
      <c r="G60" s="56"/>
    </row>
    <row r="61" spans="1:7" ht="15" customHeight="1">
      <c r="A61" s="107"/>
      <c r="B61" s="105"/>
      <c r="C61" s="24" t="s">
        <v>2</v>
      </c>
      <c r="D61" s="37">
        <f>13236+3927+300</f>
        <v>17463</v>
      </c>
      <c r="E61" s="37">
        <f>4692+3477+3206+5981+1801</f>
        <v>19157</v>
      </c>
      <c r="F61" s="13">
        <f t="shared" si="3"/>
        <v>109.70050964897212</v>
      </c>
      <c r="G61" s="54"/>
    </row>
    <row r="62" spans="1:7" ht="15" customHeight="1">
      <c r="A62" s="107"/>
      <c r="B62" s="105"/>
      <c r="C62" s="11" t="s">
        <v>38</v>
      </c>
      <c r="D62" s="34">
        <v>0</v>
      </c>
      <c r="E62" s="34">
        <f>60+49</f>
        <v>109</v>
      </c>
      <c r="F62" s="13"/>
      <c r="G62" s="56"/>
    </row>
    <row r="63" spans="1:7" ht="15" customHeight="1" thickBot="1">
      <c r="A63" s="55"/>
      <c r="B63" s="72"/>
      <c r="C63" s="19" t="s">
        <v>10</v>
      </c>
      <c r="D63" s="35">
        <v>0</v>
      </c>
      <c r="E63" s="35">
        <f>104</f>
        <v>104</v>
      </c>
      <c r="F63" s="85"/>
      <c r="G63" s="58"/>
    </row>
    <row r="64" spans="1:7" s="41" customFormat="1" ht="14.25">
      <c r="A64" s="106">
        <v>14</v>
      </c>
      <c r="B64" s="141" t="s">
        <v>28</v>
      </c>
      <c r="C64" s="42" t="s">
        <v>4</v>
      </c>
      <c r="D64" s="45">
        <f>SUM(D65:D66)</f>
        <v>0</v>
      </c>
      <c r="E64" s="45">
        <f>SUM(E65:E66)</f>
        <v>253</v>
      </c>
      <c r="F64" s="46"/>
      <c r="G64" s="53"/>
    </row>
    <row r="65" spans="1:7" ht="15">
      <c r="A65" s="107"/>
      <c r="B65" s="103"/>
      <c r="C65" s="11" t="s">
        <v>1</v>
      </c>
      <c r="D65" s="34">
        <v>0</v>
      </c>
      <c r="E65" s="34">
        <v>208</v>
      </c>
      <c r="F65" s="13"/>
      <c r="G65" s="56"/>
    </row>
    <row r="66" spans="1:7" ht="15.75" thickBot="1">
      <c r="A66" s="107"/>
      <c r="B66" s="103"/>
      <c r="C66" s="19" t="s">
        <v>2</v>
      </c>
      <c r="D66" s="35">
        <v>0</v>
      </c>
      <c r="E66" s="35">
        <v>45</v>
      </c>
      <c r="F66" s="17"/>
      <c r="G66" s="58"/>
    </row>
    <row r="67" spans="1:7" s="41" customFormat="1" ht="14.25">
      <c r="A67" s="106">
        <v>15</v>
      </c>
      <c r="B67" s="141" t="s">
        <v>15</v>
      </c>
      <c r="C67" s="42" t="s">
        <v>4</v>
      </c>
      <c r="D67" s="47">
        <v>0</v>
      </c>
      <c r="E67" s="47">
        <v>0</v>
      </c>
      <c r="F67" s="45">
        <v>0</v>
      </c>
      <c r="G67" s="53"/>
    </row>
    <row r="68" spans="1:7" ht="15">
      <c r="A68" s="107"/>
      <c r="B68" s="103"/>
      <c r="C68" s="11" t="s">
        <v>1</v>
      </c>
      <c r="D68" s="34">
        <v>0</v>
      </c>
      <c r="E68" s="12">
        <v>0</v>
      </c>
      <c r="F68" s="34">
        <v>0</v>
      </c>
      <c r="G68" s="56"/>
    </row>
    <row r="69" spans="1:7" ht="15.75" thickBot="1">
      <c r="A69" s="121"/>
      <c r="B69" s="142"/>
      <c r="C69" s="19" t="s">
        <v>2</v>
      </c>
      <c r="D69" s="16">
        <v>0</v>
      </c>
      <c r="E69" s="16">
        <v>0</v>
      </c>
      <c r="F69" s="35">
        <v>0</v>
      </c>
      <c r="G69" s="58"/>
    </row>
    <row r="70" spans="1:7" s="41" customFormat="1" ht="14.25">
      <c r="A70" s="107">
        <v>16</v>
      </c>
      <c r="B70" s="132" t="s">
        <v>9</v>
      </c>
      <c r="C70" s="42" t="s">
        <v>4</v>
      </c>
      <c r="D70" s="45">
        <f>SUM(D71:D72)</f>
        <v>2833</v>
      </c>
      <c r="E70" s="45">
        <f>SUM(E71:E72)</f>
        <v>62</v>
      </c>
      <c r="F70" s="46">
        <f>E70/D70*100</f>
        <v>2.1884927638545713</v>
      </c>
      <c r="G70" s="53"/>
    </row>
    <row r="71" spans="1:7" s="41" customFormat="1" ht="15">
      <c r="A71" s="107"/>
      <c r="B71" s="133"/>
      <c r="C71" s="11" t="s">
        <v>1</v>
      </c>
      <c r="D71" s="69">
        <v>0</v>
      </c>
      <c r="E71" s="69">
        <v>62</v>
      </c>
      <c r="F71" s="68"/>
      <c r="G71" s="59"/>
    </row>
    <row r="72" spans="1:7" ht="15.75" thickBot="1">
      <c r="A72" s="121"/>
      <c r="B72" s="134"/>
      <c r="C72" s="19" t="s">
        <v>2</v>
      </c>
      <c r="D72" s="70">
        <v>2833</v>
      </c>
      <c r="E72" s="70">
        <v>0</v>
      </c>
      <c r="F72" s="35">
        <v>0</v>
      </c>
      <c r="G72" s="58"/>
    </row>
    <row r="73" spans="1:7" s="41" customFormat="1" ht="15">
      <c r="A73" s="98">
        <v>17</v>
      </c>
      <c r="B73" s="48" t="s">
        <v>29</v>
      </c>
      <c r="C73" s="42" t="s">
        <v>4</v>
      </c>
      <c r="D73" s="47">
        <f>D74</f>
        <v>600</v>
      </c>
      <c r="E73" s="47">
        <f>E74</f>
        <v>0</v>
      </c>
      <c r="F73" s="46">
        <f>E73/D73*100</f>
        <v>0</v>
      </c>
      <c r="G73" s="53"/>
    </row>
    <row r="74" spans="1:7" ht="15.75" thickBot="1">
      <c r="A74" s="76"/>
      <c r="B74" s="14"/>
      <c r="C74" s="19" t="s">
        <v>0</v>
      </c>
      <c r="D74" s="16">
        <f>120+120+120+120+120</f>
        <v>600</v>
      </c>
      <c r="E74" s="16">
        <v>0</v>
      </c>
      <c r="F74" s="17"/>
      <c r="G74" s="58"/>
    </row>
    <row r="75" spans="1:7" s="41" customFormat="1" ht="14.25">
      <c r="A75" s="135" t="s">
        <v>18</v>
      </c>
      <c r="B75" s="136"/>
      <c r="C75" s="39" t="s">
        <v>4</v>
      </c>
      <c r="D75" s="51">
        <f>SUM(D76:D84)</f>
        <v>1059477</v>
      </c>
      <c r="E75" s="51">
        <f>SUM(E76:E84)</f>
        <v>1164283.2</v>
      </c>
      <c r="F75" s="52">
        <f aca="true" t="shared" si="4" ref="F75:F84">E75/D75*100</f>
        <v>109.89225816133809</v>
      </c>
      <c r="G75" s="96"/>
    </row>
    <row r="76" spans="1:7" ht="15">
      <c r="A76" s="137"/>
      <c r="B76" s="138"/>
      <c r="C76" s="11" t="s">
        <v>0</v>
      </c>
      <c r="D76" s="34">
        <f>D14+D31+D36+D74</f>
        <v>150565</v>
      </c>
      <c r="E76" s="34">
        <f>E14+E31+E36+E74</f>
        <v>8228.6</v>
      </c>
      <c r="F76" s="49">
        <f t="shared" si="4"/>
        <v>5.465147942748979</v>
      </c>
      <c r="G76" s="56"/>
    </row>
    <row r="77" spans="1:7" s="2" customFormat="1" ht="15">
      <c r="A77" s="137"/>
      <c r="B77" s="138"/>
      <c r="C77" s="11" t="s">
        <v>1</v>
      </c>
      <c r="D77" s="34">
        <f>D15+D20+D25+D32+D37+D52+D56+D60+D65+D68+D71</f>
        <v>205133</v>
      </c>
      <c r="E77" s="34">
        <f>E15+E20+E25+E32+E37+E52+E56+E60+E65+E68+E71</f>
        <v>242023.7</v>
      </c>
      <c r="F77" s="49">
        <f t="shared" si="4"/>
        <v>117.98379587877135</v>
      </c>
      <c r="G77" s="56"/>
    </row>
    <row r="78" spans="1:7" ht="15.75" thickBot="1">
      <c r="A78" s="137"/>
      <c r="B78" s="138"/>
      <c r="C78" s="25" t="s">
        <v>2</v>
      </c>
      <c r="D78" s="36">
        <f>D11+D16+D18+D21+D23+D26+D33+D38+D45+D49+D53+D57+D61+D66+D69+D72</f>
        <v>325985</v>
      </c>
      <c r="E78" s="36">
        <f>E11+E16+E18+E21+E23+E26+E33+E38+E45+E49+E53+E57+E61+E66+E69+E72</f>
        <v>225017.1</v>
      </c>
      <c r="F78" s="50">
        <f t="shared" si="4"/>
        <v>69.02682638771724</v>
      </c>
      <c r="G78" s="64"/>
    </row>
    <row r="79" spans="1:7" ht="15.75" thickTop="1">
      <c r="A79" s="137"/>
      <c r="B79" s="138"/>
      <c r="C79" s="23" t="s">
        <v>34</v>
      </c>
      <c r="D79" s="32">
        <f>D27+D41+D47</f>
        <v>6565</v>
      </c>
      <c r="E79" s="32">
        <f>E27+E41+E47</f>
        <v>4578.5</v>
      </c>
      <c r="F79" s="44">
        <f t="shared" si="4"/>
        <v>69.74105102817974</v>
      </c>
      <c r="G79" s="61"/>
    </row>
    <row r="80" spans="1:7" ht="15">
      <c r="A80" s="137"/>
      <c r="B80" s="138"/>
      <c r="C80" s="11" t="s">
        <v>32</v>
      </c>
      <c r="D80" s="31">
        <f>D48</f>
        <v>2985</v>
      </c>
      <c r="E80" s="31">
        <f>E48</f>
        <v>697</v>
      </c>
      <c r="F80" s="49">
        <f t="shared" si="4"/>
        <v>23.350083752093802</v>
      </c>
      <c r="G80" s="56"/>
    </row>
    <row r="81" spans="1:7" s="26" customFormat="1" ht="15">
      <c r="A81" s="137"/>
      <c r="B81" s="138"/>
      <c r="C81" s="12" t="s">
        <v>38</v>
      </c>
      <c r="D81" s="34">
        <f>D42+D62</f>
        <v>127912</v>
      </c>
      <c r="E81" s="34">
        <f>E42+E62</f>
        <v>8933</v>
      </c>
      <c r="F81" s="49">
        <f t="shared" si="4"/>
        <v>6.983707548939896</v>
      </c>
      <c r="G81" s="65"/>
    </row>
    <row r="82" spans="1:7" s="26" customFormat="1" ht="15">
      <c r="A82" s="137"/>
      <c r="B82" s="138"/>
      <c r="C82" s="12" t="s">
        <v>14</v>
      </c>
      <c r="D82" s="34">
        <f>D12+D28+D39+D50</f>
        <v>177495</v>
      </c>
      <c r="E82" s="34">
        <f>E12+E28+E39+E50</f>
        <v>525276</v>
      </c>
      <c r="F82" s="49">
        <f t="shared" si="4"/>
        <v>295.93847714020114</v>
      </c>
      <c r="G82" s="65"/>
    </row>
    <row r="83" spans="1:7" s="26" customFormat="1" ht="15">
      <c r="A83" s="137"/>
      <c r="B83" s="138"/>
      <c r="C83" s="12" t="s">
        <v>37</v>
      </c>
      <c r="D83" s="34">
        <f>D40</f>
        <v>55200</v>
      </c>
      <c r="E83" s="34">
        <f>E40</f>
        <v>127534</v>
      </c>
      <c r="F83" s="49">
        <f t="shared" si="4"/>
        <v>231.03985507246375</v>
      </c>
      <c r="G83" s="65"/>
    </row>
    <row r="84" spans="1:7" s="26" customFormat="1" ht="15.75" thickBot="1">
      <c r="A84" s="139"/>
      <c r="B84" s="140"/>
      <c r="C84" s="16" t="s">
        <v>10</v>
      </c>
      <c r="D84" s="35">
        <f>D29+D34+D58+D63</f>
        <v>7637</v>
      </c>
      <c r="E84" s="35">
        <f>E29+E34+E58+E63</f>
        <v>21995.3</v>
      </c>
      <c r="F84" s="66">
        <f t="shared" si="4"/>
        <v>288.00968966871807</v>
      </c>
      <c r="G84" s="67"/>
    </row>
    <row r="85" ht="23.25" customHeight="1">
      <c r="A85" s="2" t="s">
        <v>19</v>
      </c>
    </row>
    <row r="86" ht="15">
      <c r="B86" s="1" t="s">
        <v>20</v>
      </c>
    </row>
    <row r="87" ht="15">
      <c r="B87" s="1" t="s">
        <v>21</v>
      </c>
    </row>
    <row r="88" ht="15">
      <c r="B88" s="1" t="s">
        <v>22</v>
      </c>
    </row>
    <row r="89" ht="15">
      <c r="B89" s="1" t="s">
        <v>35</v>
      </c>
    </row>
    <row r="90" ht="15">
      <c r="B90" s="1" t="s">
        <v>45</v>
      </c>
    </row>
    <row r="91" ht="15">
      <c r="B91" s="1" t="s">
        <v>31</v>
      </c>
    </row>
    <row r="92" ht="15">
      <c r="B92" s="1" t="s">
        <v>41</v>
      </c>
    </row>
    <row r="93" ht="15">
      <c r="B93" s="1" t="s">
        <v>23</v>
      </c>
    </row>
    <row r="94" ht="15">
      <c r="B94" s="1" t="s">
        <v>24</v>
      </c>
    </row>
    <row r="95" ht="15">
      <c r="B95" s="1" t="s">
        <v>25</v>
      </c>
    </row>
    <row r="96" ht="15">
      <c r="B96" s="1" t="s">
        <v>36</v>
      </c>
    </row>
    <row r="198" ht="15">
      <c r="E198" s="27"/>
    </row>
  </sheetData>
  <sheetProtection/>
  <mergeCells count="34">
    <mergeCell ref="A55:A58"/>
    <mergeCell ref="B55:B58"/>
    <mergeCell ref="A70:A72"/>
    <mergeCell ref="B70:B72"/>
    <mergeCell ref="A75:B84"/>
    <mergeCell ref="A64:A66"/>
    <mergeCell ref="B64:B66"/>
    <mergeCell ref="A67:A69"/>
    <mergeCell ref="B67:B69"/>
    <mergeCell ref="A44:A45"/>
    <mergeCell ref="B44:B45"/>
    <mergeCell ref="A46:A50"/>
    <mergeCell ref="B46:B50"/>
    <mergeCell ref="A51:A54"/>
    <mergeCell ref="B51:B54"/>
    <mergeCell ref="B24:B29"/>
    <mergeCell ref="A30:A34"/>
    <mergeCell ref="B30:B34"/>
    <mergeCell ref="A35:A42"/>
    <mergeCell ref="B35:B42"/>
    <mergeCell ref="A13:A16"/>
    <mergeCell ref="B13:B16"/>
    <mergeCell ref="A22:A23"/>
    <mergeCell ref="B22:B23"/>
    <mergeCell ref="A4:G4"/>
    <mergeCell ref="D6:D8"/>
    <mergeCell ref="E6:E8"/>
    <mergeCell ref="F6:F8"/>
    <mergeCell ref="C6:C8"/>
    <mergeCell ref="B59:B62"/>
    <mergeCell ref="A59:A62"/>
    <mergeCell ref="A6:A8"/>
    <mergeCell ref="B6:B8"/>
    <mergeCell ref="A24:A2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МК</cp:lastModifiedBy>
  <cp:lastPrinted>2006-05-22T02:52:44Z</cp:lastPrinted>
  <dcterms:created xsi:type="dcterms:W3CDTF">2001-02-22T05:57:33Z</dcterms:created>
  <dcterms:modified xsi:type="dcterms:W3CDTF">2014-05-30T09:27:43Z</dcterms:modified>
  <cp:category/>
  <cp:version/>
  <cp:contentType/>
  <cp:contentStatus/>
</cp:coreProperties>
</file>